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<sst xmlns="http://schemas.openxmlformats.org/spreadsheetml/2006/main" count="215" uniqueCount="28">
  <si>
    <t>簡単計算シート　一般家庭用</t>
  </si>
  <si>
    <t>↓現在の料金</t>
  </si>
  <si>
    <t>上水</t>
  </si>
  <si>
    <t>円</t>
  </si>
  <si>
    <t>２カ月で</t>
  </si>
  <si>
    <t>円の値上げ</t>
  </si>
  <si>
    <t>２０ミリ</t>
  </si>
  <si>
    <t>⇒</t>
  </si>
  <si>
    <t>下水</t>
  </si>
  <si>
    <t>⇒</t>
  </si>
  <si>
    <t>１年で</t>
  </si>
  <si>
    <t>円の大幅値上げ</t>
  </si>
  <si>
    <t>合計</t>
  </si>
  <si>
    <t>値上げ率</t>
  </si>
  <si>
    <t>２５ミリ</t>
  </si>
  <si>
    <t>⇒</t>
  </si>
  <si>
    <t>簡単計算シート　業務用</t>
  </si>
  <si>
    <t>４０ミリ</t>
  </si>
  <si>
    <t>５０ミリ</t>
  </si>
  <si>
    <t>７５ミリ</t>
  </si>
  <si>
    <t>100ミリ</t>
  </si>
  <si>
    <t>150ミリ</t>
  </si>
  <si>
    <t>200ミリ</t>
  </si>
  <si>
    <t>地下水利用</t>
  </si>
  <si>
    <t>簡単計算シート　公衆浴場用</t>
  </si>
  <si>
    <t>京都市水道局・２０１３年度水道料金値上げ対応・水道使用料金簡単計算シート</t>
  </si>
  <si>
    <t>＊銀行口座引き落とし割引（１回４０円）は含んでいません。</t>
  </si>
  <si>
    <t>　使用水量（㎥・２カ月分）を入力↓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</si>
</sst>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10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10" fontId="0" fillId="0" borderId="19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2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3" max="3" width="12.50390625" style="0" customWidth="1"/>
    <col min="4" max="4" width="15.125" style="0" customWidth="1"/>
    <col min="5" max="5" width="3.375" style="0" bestFit="1" customWidth="1"/>
    <col min="6" max="6" width="5.50390625" style="0" customWidth="1"/>
    <col min="7" max="7" width="10.125" style="0" bestFit="1" customWidth="1"/>
    <col min="8" max="8" width="5.50390625" style="0" customWidth="1"/>
    <col min="9" max="9" width="3.375" style="0" bestFit="1" customWidth="1"/>
    <col min="10" max="10" width="5.50390625" style="0" bestFit="1" customWidth="1"/>
    <col min="11" max="11" width="10.125" style="0" bestFit="1" customWidth="1"/>
    <col min="12" max="12" width="5.25390625" style="0" bestFit="1" customWidth="1"/>
    <col min="13" max="13" width="11.125" style="0" bestFit="1" customWidth="1"/>
  </cols>
  <sheetData>
    <row r="2" spans="2:16" ht="21"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ht="14.25" thickBot="1"/>
    <row r="4" spans="2:16" ht="13.5">
      <c r="B4" s="13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20"/>
    </row>
    <row r="5" spans="2:16" ht="13.5">
      <c r="B5" s="21"/>
      <c r="C5" s="1"/>
      <c r="D5" s="1"/>
      <c r="E5" s="1"/>
      <c r="F5" s="35" t="s">
        <v>1</v>
      </c>
      <c r="G5" s="35"/>
      <c r="H5" s="35"/>
      <c r="I5" s="1"/>
      <c r="J5" s="1"/>
      <c r="K5" s="1"/>
      <c r="L5" s="1"/>
      <c r="M5" s="1"/>
      <c r="N5" s="1"/>
      <c r="O5" s="1"/>
      <c r="P5" s="23"/>
    </row>
    <row r="6" spans="2:16" ht="13.5">
      <c r="B6" s="21"/>
      <c r="C6" s="1" t="s">
        <v>27</v>
      </c>
      <c r="D6" s="1"/>
      <c r="E6" s="1"/>
      <c r="F6" s="1" t="s">
        <v>2</v>
      </c>
      <c r="G6" s="2">
        <f>(1740+IF(($D7-20)&gt;0,($D7-20)*162,0)+IF(($D7-60)&gt;0,($D7-60)*27,0)+IF(($D7-200)&gt;0,($D7-200)*17,0)+IF(($D7-400)&gt;0,($D7-400)*17,0)+IF(($D7-1000)&gt;0,($D7-1000)*39,0)+IF(($D7-10000)&gt;0,($D7-10000)*39,0)+IF(($D7-20000)&gt;0,($D7-20000)*38,0))*1.05</f>
        <v>1827</v>
      </c>
      <c r="H6" s="1" t="s">
        <v>3</v>
      </c>
      <c r="I6" s="1"/>
      <c r="J6" s="1" t="s">
        <v>2</v>
      </c>
      <c r="K6" s="2">
        <f>(1840+IF(($D7-10)&gt;0,($D7-10)*10,0)+IF(($D7-20)&gt;0,($D7-20)*167,0)+IF(($D7-40)&gt;0,($D7-40)*3,0)+IF(($D7-60)&gt;0,($D7-60)*28,0)+IF(($D7-200)&gt;0,($D7-200)*18,0)+IF(($D7-400)&gt;0,($D7-400)*17,0)+IF(($D7-1000)&gt;0,($D7-1000)*41,0)+IF(($D7-10000)&gt;0,($D7-10000)*42,0))*1.05</f>
        <v>1932</v>
      </c>
      <c r="L6" s="1" t="s">
        <v>3</v>
      </c>
      <c r="M6" s="22" t="s">
        <v>4</v>
      </c>
      <c r="N6" s="3">
        <f>ROUNDDOWN(K8-G8,0)</f>
        <v>0</v>
      </c>
      <c r="O6" s="1" t="s">
        <v>5</v>
      </c>
      <c r="P6" s="23"/>
    </row>
    <row r="7" spans="2:16" ht="13.5">
      <c r="B7" s="21"/>
      <c r="C7" s="1" t="s">
        <v>6</v>
      </c>
      <c r="D7" s="4">
        <v>0</v>
      </c>
      <c r="E7" s="24" t="s">
        <v>7</v>
      </c>
      <c r="F7" s="6" t="s">
        <v>8</v>
      </c>
      <c r="G7" s="7">
        <f>(1400+IF(($D7-20)&gt;0,($D7-20)*119,0)+IF(($D7-60)&gt;0,($D7-60)*48,0)+IF(($D7-200)&gt;0,($D7-200)*21,0)+IF(($D7-400)&gt;0,($D7-400)*18,0)+IF(($D7-1000)&gt;0,($D7-1000)*12,0))*1.05</f>
        <v>1470</v>
      </c>
      <c r="H7" s="8" t="s">
        <v>3</v>
      </c>
      <c r="I7" s="24" t="s">
        <v>9</v>
      </c>
      <c r="J7" s="6" t="s">
        <v>8</v>
      </c>
      <c r="K7" s="7">
        <f>(1300+IF(($D7-10)&gt;0,($D7-10)*10,0)+IF(($D7-20)&gt;0,($D7-20)*103,0)+IF(($D7-40)&gt;0,($D7-40)*3,0)+IF(($D7-60)&gt;0,($D7-60)*46,0)+IF(($D7-200)&gt;0,($D7-200)*21,0)+IF(($D7-400)&gt;0,($D7-400)*18,0)+IF(($D7-1000)&gt;0,($D7-1000)*12,0)+IF(($D7-10000)&gt;0,($D7-10000)*5,0))*1.05</f>
        <v>1365</v>
      </c>
      <c r="L7" s="8" t="s">
        <v>3</v>
      </c>
      <c r="M7" s="9" t="s">
        <v>10</v>
      </c>
      <c r="N7" s="3">
        <f>N6*6</f>
        <v>0</v>
      </c>
      <c r="O7" s="1" t="s">
        <v>11</v>
      </c>
      <c r="P7" s="23"/>
    </row>
    <row r="8" spans="2:16" ht="13.5">
      <c r="B8" s="21"/>
      <c r="C8" s="1"/>
      <c r="D8" s="1"/>
      <c r="E8" s="24"/>
      <c r="F8" s="1" t="s">
        <v>12</v>
      </c>
      <c r="G8" s="10">
        <f>ROUNDDOWN(G6+G7,0)</f>
        <v>3297</v>
      </c>
      <c r="H8" s="11" t="s">
        <v>3</v>
      </c>
      <c r="I8" s="24"/>
      <c r="J8" s="1" t="s">
        <v>12</v>
      </c>
      <c r="K8" s="10">
        <f>ROUNDDOWN(K6+K7,0)</f>
        <v>3297</v>
      </c>
      <c r="L8" s="11" t="s">
        <v>3</v>
      </c>
      <c r="M8" s="9" t="s">
        <v>13</v>
      </c>
      <c r="N8" s="26">
        <f>N6/G8</f>
        <v>0</v>
      </c>
      <c r="O8" s="1"/>
      <c r="P8" s="23"/>
    </row>
    <row r="9" spans="2:16" ht="13.5">
      <c r="B9" s="21"/>
      <c r="C9" s="1"/>
      <c r="D9" s="1"/>
      <c r="E9" s="24"/>
      <c r="F9" s="1"/>
      <c r="G9" s="10"/>
      <c r="H9" s="11"/>
      <c r="I9" s="24"/>
      <c r="J9" s="1"/>
      <c r="K9" s="10"/>
      <c r="L9" s="11"/>
      <c r="M9" s="9"/>
      <c r="N9" s="26"/>
      <c r="O9" s="1"/>
      <c r="P9" s="23"/>
    </row>
    <row r="10" spans="2:16" ht="13.5">
      <c r="B10" s="21"/>
      <c r="C10" s="1"/>
      <c r="D10" s="1"/>
      <c r="E10" s="1"/>
      <c r="F10" s="1" t="s">
        <v>2</v>
      </c>
      <c r="G10" s="2">
        <f>(1690*2+IF(($D11-20)&gt;0,($D11-20)*162,0)+IF(($D11-60)&gt;0,($D11-60)*27,0)+IF(($D11-200)&gt;0,($D11-200)*17,0)+IF(($D11-400)&gt;0,($D11-400)*17,0)+IF(($D11-1000)&gt;0,($D11-1000)*39,0)+IF(($D11-10000)&gt;0,($D11-10000)*39,0)+IF(($D11-20000)&gt;0,($D11-20000)*38,0))*1.05</f>
        <v>3549</v>
      </c>
      <c r="H10" s="1" t="s">
        <v>3</v>
      </c>
      <c r="I10" s="1"/>
      <c r="J10" s="1" t="s">
        <v>2</v>
      </c>
      <c r="K10" s="2">
        <f>(1900*2+IF(($D11-20)&gt;0,($D11-20)*10,0)+IF(($D11-20)&gt;0,($D11-20)*167,0)+IF(($D11-40)&gt;0,($D11-40)*3,0)+IF(($D11-60)&gt;0,($D11-60)*28,0)+IF(($D11-200)&gt;0,($D11-200)*18,0)+IF(($D11-400)&gt;0,($D11-400)*17,0)+IF(($D11-1000)&gt;0,($D11-1000)*41,0)+IF(($D11-10000)&gt;0,($D11-10000)*42,0))*1.05</f>
        <v>3990</v>
      </c>
      <c r="L10" s="1" t="s">
        <v>3</v>
      </c>
      <c r="M10" s="22" t="s">
        <v>4</v>
      </c>
      <c r="N10" s="3">
        <f>ROUNDDOWN(K12-G12,0)</f>
        <v>336</v>
      </c>
      <c r="O10" s="1" t="s">
        <v>5</v>
      </c>
      <c r="P10" s="23"/>
    </row>
    <row r="11" spans="2:16" ht="13.5">
      <c r="B11" s="21"/>
      <c r="C11" s="1" t="s">
        <v>14</v>
      </c>
      <c r="D11" s="4">
        <v>0</v>
      </c>
      <c r="E11" s="24" t="s">
        <v>15</v>
      </c>
      <c r="F11" s="6" t="s">
        <v>8</v>
      </c>
      <c r="G11" s="7">
        <f>(1400+IF(($D11-20)&gt;0,($D11-20)*119,0)+IF(($D11-60)&gt;0,($D11-60)*48,0)+IF(($D11-200)&gt;0,($D11-200)*21,0)+IF(($D11-400)&gt;0,($D11-400)*18,0)+IF(($D11-1000)&gt;0,($D11-1000)*12,0))*1.05</f>
        <v>1470</v>
      </c>
      <c r="H11" s="8" t="s">
        <v>3</v>
      </c>
      <c r="I11" s="24" t="s">
        <v>9</v>
      </c>
      <c r="J11" s="6" t="s">
        <v>8</v>
      </c>
      <c r="K11" s="7">
        <f>(1300+IF(($D11-10)&gt;0,($D11-10)*10,0)+IF(($D11-20)&gt;0,($D11-20)*103,0)+IF(($D11-40)&gt;0,($D11-40)*3,0)+IF(($D11-60)&gt;0,($D11-60)*46,0)+IF(($D11-200)&gt;0,($D11-200)*21,0)+IF(($D11-400)&gt;0,($D11-400)*18,0)+IF(($D11-1000)&gt;0,($D11-1000)*12,0)+IF(($D11-10000)&gt;0,($D11-10000)*5,0))*1.05</f>
        <v>1365</v>
      </c>
      <c r="L11" s="8" t="s">
        <v>3</v>
      </c>
      <c r="M11" s="9" t="s">
        <v>10</v>
      </c>
      <c r="N11" s="3">
        <f>N10*6</f>
        <v>2016</v>
      </c>
      <c r="O11" s="1" t="s">
        <v>11</v>
      </c>
      <c r="P11" s="23"/>
    </row>
    <row r="12" spans="2:16" ht="13.5">
      <c r="B12" s="21"/>
      <c r="C12" s="1"/>
      <c r="D12" s="1"/>
      <c r="E12" s="24"/>
      <c r="F12" s="1" t="s">
        <v>12</v>
      </c>
      <c r="G12" s="10">
        <f>ROUNDDOWN(G10+G11,0)</f>
        <v>5019</v>
      </c>
      <c r="H12" s="11" t="s">
        <v>3</v>
      </c>
      <c r="I12" s="24"/>
      <c r="J12" s="1" t="s">
        <v>12</v>
      </c>
      <c r="K12" s="10">
        <f>ROUNDDOWN(K10+K11,0)</f>
        <v>5355</v>
      </c>
      <c r="L12" s="11" t="s">
        <v>3</v>
      </c>
      <c r="M12" s="9" t="s">
        <v>13</v>
      </c>
      <c r="N12" s="26">
        <f>N10/G12</f>
        <v>0.06694560669456066</v>
      </c>
      <c r="O12" s="1"/>
      <c r="P12" s="23"/>
    </row>
    <row r="13" spans="2:16" ht="14.25" thickBot="1">
      <c r="B13" s="27"/>
      <c r="C13" s="28"/>
      <c r="D13" s="28"/>
      <c r="E13" s="30"/>
      <c r="F13" s="28"/>
      <c r="G13" s="31"/>
      <c r="H13" s="32"/>
      <c r="I13" s="30"/>
      <c r="J13" s="28"/>
      <c r="K13" s="31"/>
      <c r="L13" s="32"/>
      <c r="M13" s="33"/>
      <c r="N13" s="34"/>
      <c r="O13" s="28"/>
      <c r="P13" s="29"/>
    </row>
    <row r="14" spans="4:14" ht="14.25" thickBot="1">
      <c r="D14" s="1"/>
      <c r="E14" s="5"/>
      <c r="F14" s="1"/>
      <c r="G14" s="10"/>
      <c r="H14" s="11"/>
      <c r="I14" s="5"/>
      <c r="J14" s="1"/>
      <c r="K14" s="10"/>
      <c r="L14" s="11"/>
      <c r="M14" s="9"/>
      <c r="N14" s="12"/>
    </row>
    <row r="15" spans="2:16" ht="13.5">
      <c r="B15" s="13" t="s">
        <v>16</v>
      </c>
      <c r="C15" s="14"/>
      <c r="D15" s="14"/>
      <c r="E15" s="15"/>
      <c r="F15" s="14"/>
      <c r="G15" s="16"/>
      <c r="H15" s="17"/>
      <c r="I15" s="15"/>
      <c r="J15" s="14"/>
      <c r="K15" s="16"/>
      <c r="L15" s="17"/>
      <c r="M15" s="18"/>
      <c r="N15" s="19"/>
      <c r="O15" s="14"/>
      <c r="P15" s="20"/>
    </row>
    <row r="16" spans="2:16" ht="13.5">
      <c r="B16" s="21"/>
      <c r="C16" s="1"/>
      <c r="D16" s="1"/>
      <c r="E16" s="1"/>
      <c r="F16" s="1" t="s">
        <v>2</v>
      </c>
      <c r="G16" s="2">
        <f>(2470*2+IF(($D17-20)&gt;0,($D17-20)*162,0)+IF(($D17-60)&gt;0,($D17-60)*27,0)+IF(($D17-200)&gt;0,($D17-200)*17,0)+IF(($D17-400)&gt;0,($D17-400)*17,0)+IF(($D17-1000)&gt;0,($D17-1000)*39,0)+IF(($D17-10000)&gt;0,($D17-10000)*39,0)+IF(($D17-20000)&gt;0,($D17-20000)*38,0))*1.05</f>
        <v>5187</v>
      </c>
      <c r="H16" s="1" t="s">
        <v>3</v>
      </c>
      <c r="I16" s="1"/>
      <c r="J16" s="1" t="s">
        <v>2</v>
      </c>
      <c r="K16" s="2">
        <f>(2780*2+IF(($D17-20)&gt;0,($D17-20)*10,0)+IF(($D17-20)&gt;0,($D17-20)*167,0)+IF(($D17-40)&gt;0,($D17-40)*3,0)+IF(($D17-60)&gt;0,($D17-60)*28,0)+IF(($D17-200)&gt;0,($D17-200)*18,0)+IF(($D17-400)&gt;0,($D17-400)*17,0)+IF(($D17-1000)&gt;0,($D17-1000)*41,0)+IF(($D17-10000)&gt;0,($D17-10000)*42,0))*1.05</f>
        <v>5838</v>
      </c>
      <c r="L16" s="1" t="s">
        <v>3</v>
      </c>
      <c r="M16" s="22" t="s">
        <v>4</v>
      </c>
      <c r="N16" s="3">
        <f>ROUNDDOWN(K18-G18,0)</f>
        <v>546</v>
      </c>
      <c r="O16" s="1" t="s">
        <v>5</v>
      </c>
      <c r="P16" s="23"/>
    </row>
    <row r="17" spans="2:16" ht="13.5">
      <c r="B17" s="21"/>
      <c r="C17" s="1" t="s">
        <v>17</v>
      </c>
      <c r="D17" s="4">
        <v>0</v>
      </c>
      <c r="E17" s="24" t="s">
        <v>9</v>
      </c>
      <c r="F17" s="6" t="s">
        <v>8</v>
      </c>
      <c r="G17" s="7">
        <f>(1400+IF((($D17+$D18)-20)&gt;0,(($D17+$D18)-20)*119,0)+IF((($D17+$D18)-60)&gt;0,(($D17+$D18)-60)*48,0)+IF((($D17+$D18)-200)&gt;0,(($D17+$D18)-200)*21,0)+IF((($D17+$D18)-400)&gt;0,(($D17+$D18)-400)*18,0)+IF((($D17+$D18)-1000)&gt;0,(($D17+$D18)-1000)*12,0))*1.05</f>
        <v>1470</v>
      </c>
      <c r="H17" s="8" t="s">
        <v>3</v>
      </c>
      <c r="I17" s="24" t="s">
        <v>9</v>
      </c>
      <c r="J17" s="6" t="s">
        <v>8</v>
      </c>
      <c r="K17" s="7">
        <f>(1300+IF((($D17+$D18)-10)&gt;0,(($D17+$D18)-10)*10,0)+IF((($D17+$D18)-20)&gt;0,(($D17+$D18)-20)*103,0)+IF((($D17+$D18)-40)&gt;0,(($D17+$D18)-40)*3,0)+IF((($D17+$D18)-60)&gt;0,(($D17+$D18)-60)*46,0)+IF((($D17+$D18)-200)&gt;0,(($D17+$D18)-200)*21,0)+IF((($D17+$D18)-400)&gt;0,(($D17+$D18)-400)*18,0)+IF((($D17+$D18)-1000)&gt;0,(($D17+$D18)-1000)*12,0)+IF((($D17+$D18)-10000)&gt;0,(($D17+$D18)-10000)*5,0))*1.05</f>
        <v>1365</v>
      </c>
      <c r="L17" s="8" t="s">
        <v>3</v>
      </c>
      <c r="M17" s="9" t="s">
        <v>10</v>
      </c>
      <c r="N17" s="3">
        <f>N16*6</f>
        <v>3276</v>
      </c>
      <c r="O17" s="1" t="s">
        <v>11</v>
      </c>
      <c r="P17" s="23"/>
    </row>
    <row r="18" spans="2:16" ht="13.5">
      <c r="B18" s="21"/>
      <c r="C18" s="25" t="s">
        <v>23</v>
      </c>
      <c r="D18" s="4">
        <v>0</v>
      </c>
      <c r="E18" s="24"/>
      <c r="F18" s="1" t="s">
        <v>12</v>
      </c>
      <c r="G18" s="10">
        <f>ROUNDDOWN(G16+G17,0)</f>
        <v>6657</v>
      </c>
      <c r="H18" s="11" t="s">
        <v>3</v>
      </c>
      <c r="I18" s="24"/>
      <c r="J18" s="1" t="s">
        <v>12</v>
      </c>
      <c r="K18" s="10">
        <f>ROUNDDOWN(K16+K17,0)</f>
        <v>7203</v>
      </c>
      <c r="L18" s="11" t="s">
        <v>3</v>
      </c>
      <c r="M18" s="9" t="s">
        <v>13</v>
      </c>
      <c r="N18" s="26">
        <f>N16/G18</f>
        <v>0.08201892744479496</v>
      </c>
      <c r="O18" s="1"/>
      <c r="P18" s="23"/>
    </row>
    <row r="19" spans="2:16" ht="13.5">
      <c r="B19" s="21"/>
      <c r="C19" s="1"/>
      <c r="D19" s="1"/>
      <c r="E19" s="24"/>
      <c r="F19" s="1"/>
      <c r="G19" s="10"/>
      <c r="H19" s="11"/>
      <c r="I19" s="24"/>
      <c r="J19" s="1"/>
      <c r="K19" s="10"/>
      <c r="L19" s="11"/>
      <c r="M19" s="9"/>
      <c r="N19" s="26"/>
      <c r="O19" s="1"/>
      <c r="P19" s="23"/>
    </row>
    <row r="20" spans="2:16" ht="13.5">
      <c r="B20" s="21"/>
      <c r="C20" s="1"/>
      <c r="D20" s="1"/>
      <c r="E20" s="1"/>
      <c r="F20" s="1" t="s">
        <v>2</v>
      </c>
      <c r="G20" s="2">
        <f>(9250*2+IF(($D21-20)&gt;0,($D21-20)*162,0)+IF(($D21-60)&gt;0,($D21-60)*27,0)+IF(($D21-200)&gt;0,($D21-200)*17,0)+IF(($D21-400)&gt;0,($D21-400)*17,0)+IF(($D21-1000)&gt;0,($D21-1000)*39,0)+IF(($D21-10000)&gt;0,($D21-10000)*39,0)+IF(($D21-20000)&gt;0,($D21-20000)*38,0))*1.05</f>
        <v>19425</v>
      </c>
      <c r="H20" s="1" t="s">
        <v>3</v>
      </c>
      <c r="I20" s="1"/>
      <c r="J20" s="1" t="s">
        <v>2</v>
      </c>
      <c r="K20" s="2">
        <f>(18300*2+IF(($D21-100)&gt;0,($D21-100)*10,0)+IF(($D21-100)&gt;0,($D21-100)*167,0)+IF(($D21-100)&gt;0,($D21-100)*3,0)+IF(($D21-100)&gt;0,($D21-100)*28,0)+IF(($D21-200)&gt;0,($D21-200)*18,0)+IF(($D21-400)&gt;0,($D21-400)*17,0)+IF(($D21-1000)&gt;0,($D21-1000)*41,0)+IF(($D21-10000)&gt;0,($D21-10000)*42,0))*1.05</f>
        <v>38430</v>
      </c>
      <c r="L20" s="1" t="s">
        <v>3</v>
      </c>
      <c r="M20" s="22" t="s">
        <v>4</v>
      </c>
      <c r="N20" s="3">
        <f>ROUNDDOWN(K22-G22,0)</f>
        <v>18900</v>
      </c>
      <c r="O20" s="1" t="s">
        <v>5</v>
      </c>
      <c r="P20" s="23"/>
    </row>
    <row r="21" spans="2:16" ht="13.5">
      <c r="B21" s="21"/>
      <c r="C21" s="1" t="s">
        <v>18</v>
      </c>
      <c r="D21" s="4">
        <v>0</v>
      </c>
      <c r="E21" s="24" t="s">
        <v>9</v>
      </c>
      <c r="F21" s="6" t="s">
        <v>8</v>
      </c>
      <c r="G21" s="7">
        <f>(1400+IF((($D21+$D22)-20)&gt;0,(($D21+$D22)-20)*119,0)+IF((($D21+$D22)-60)&gt;0,(($D21+$D22)-60)*48,0)+IF((($D21+$D22)-200)&gt;0,(($D21+$D22)-200)*21,0)+IF((($D21+$D22)-400)&gt;0,(($D21+$D22)-400)*18,0)+IF((($D21+$D22)-1000)&gt;0,(($D21+$D22)-1000)*12,0))*1.05</f>
        <v>1470</v>
      </c>
      <c r="H21" s="8" t="s">
        <v>3</v>
      </c>
      <c r="I21" s="24" t="s">
        <v>9</v>
      </c>
      <c r="J21" s="6" t="s">
        <v>8</v>
      </c>
      <c r="K21" s="7">
        <f>(1300+IF((($D21+$D22)-10)&gt;0,(($D21+$D22)-10)*10,0)+IF((($D21+$D22)-20)&gt;0,(($D21+$D22)-20)*103,0)+IF((($D21+$D22)-40)&gt;0,(($D21+$D22)-40)*3,0)+IF((($D21+$D22)-60)&gt;0,(($D21+$D22)-60)*46,0)+IF((($D21+$D22)-200)&gt;0,(($D21+$D22)-200)*21,0)+IF((($D21+$D22)-400)&gt;0,(($D21+$D22)-400)*18,0)+IF((($D21+$D22)-1000)&gt;0,(($D21+$D22)-1000)*12,0)+IF((($D21+$D22)-10000)&gt;0,(($D21+$D22)-10000)*5,0))*1.05</f>
        <v>1365</v>
      </c>
      <c r="L21" s="8" t="s">
        <v>3</v>
      </c>
      <c r="M21" s="9" t="s">
        <v>10</v>
      </c>
      <c r="N21" s="3">
        <f>N20*6</f>
        <v>113400</v>
      </c>
      <c r="O21" s="1" t="s">
        <v>11</v>
      </c>
      <c r="P21" s="23"/>
    </row>
    <row r="22" spans="2:16" ht="13.5">
      <c r="B22" s="21"/>
      <c r="C22" s="25" t="s">
        <v>23</v>
      </c>
      <c r="D22" s="4">
        <v>0</v>
      </c>
      <c r="E22" s="24"/>
      <c r="F22" s="1" t="s">
        <v>12</v>
      </c>
      <c r="G22" s="10">
        <f>ROUNDDOWN(G20+G21,0)</f>
        <v>20895</v>
      </c>
      <c r="H22" s="11" t="s">
        <v>3</v>
      </c>
      <c r="I22" s="24"/>
      <c r="J22" s="1" t="s">
        <v>12</v>
      </c>
      <c r="K22" s="10">
        <f>ROUNDDOWN(K20+K21,0)</f>
        <v>39795</v>
      </c>
      <c r="L22" s="11" t="s">
        <v>3</v>
      </c>
      <c r="M22" s="9" t="s">
        <v>13</v>
      </c>
      <c r="N22" s="26">
        <f>N20/G22</f>
        <v>0.9045226130653267</v>
      </c>
      <c r="O22" s="1"/>
      <c r="P22" s="23"/>
    </row>
    <row r="23" spans="2:16" ht="13.5">
      <c r="B23" s="21"/>
      <c r="C23" s="1"/>
      <c r="D23" s="1"/>
      <c r="E23" s="24"/>
      <c r="F23" s="1"/>
      <c r="G23" s="10"/>
      <c r="H23" s="11"/>
      <c r="I23" s="24"/>
      <c r="J23" s="1"/>
      <c r="K23" s="10"/>
      <c r="L23" s="11"/>
      <c r="M23" s="9"/>
      <c r="N23" s="26"/>
      <c r="O23" s="1"/>
      <c r="P23" s="23"/>
    </row>
    <row r="24" spans="2:16" ht="13.5">
      <c r="B24" s="21"/>
      <c r="C24" s="1"/>
      <c r="D24" s="1"/>
      <c r="E24" s="1"/>
      <c r="F24" s="1" t="s">
        <v>2</v>
      </c>
      <c r="G24" s="2">
        <f>(15470*2+IF(($D25-20)&gt;0,($D25-20)*162,0)+IF(($D25-60)&gt;0,($D25-60)*27,0)+IF(($D25-200)&gt;0,($D25-200)*17,0)+IF(($D25-400)&gt;0,($D25-400)*17,0)+IF(($D25-1000)&gt;0,($D25-1000)*39,0)+IF(($D25-10000)&gt;0,($D25-10000)*39,0)+IF(($D25-20000)&gt;0,($D25-20000)*38,0))*1.05</f>
        <v>32487</v>
      </c>
      <c r="H24" s="1" t="s">
        <v>3</v>
      </c>
      <c r="I24" s="1"/>
      <c r="J24" s="1" t="s">
        <v>2</v>
      </c>
      <c r="K24" s="2">
        <f>(35910*2+IF(($D25-200)&gt;0,($D25-200)*10,0)+IF(($D25-200)&gt;0,($D25-200)*167,0)+IF(($D25-200)&gt;0,($D25-200)*3,0)+IF(($D25-200)&gt;0,($D25-200)*28,0)+IF(($D25-200)&gt;0,($D25-200)*18,0)+IF(($D25-400)&gt;0,($D25-400)*17,0)+IF(($D25-1000)&gt;0,($D25-1000)*41,0)+IF(($D25-10000)&gt;0,($D25-10000)*42,0))*1.05</f>
        <v>75411</v>
      </c>
      <c r="L24" s="1" t="s">
        <v>3</v>
      </c>
      <c r="M24" s="22" t="s">
        <v>4</v>
      </c>
      <c r="N24" s="3">
        <f>ROUNDDOWN(K26-G26,0)</f>
        <v>42819</v>
      </c>
      <c r="O24" s="1" t="s">
        <v>5</v>
      </c>
      <c r="P24" s="23"/>
    </row>
    <row r="25" spans="2:16" ht="13.5">
      <c r="B25" s="21"/>
      <c r="C25" s="1" t="s">
        <v>19</v>
      </c>
      <c r="D25" s="4">
        <v>0</v>
      </c>
      <c r="E25" s="24" t="s">
        <v>9</v>
      </c>
      <c r="F25" s="6" t="s">
        <v>8</v>
      </c>
      <c r="G25" s="7">
        <f>(1400+IF((($D25+$D26)-20)&gt;0,(($D25+$D26)-20)*119,0)+IF((($D25+$D26)-60)&gt;0,(($D25+$D26)-60)*48,0)+IF((($D25+$D26)-200)&gt;0,(($D25+$D26)-200)*21,0)+IF((($D25+$D26)-400)&gt;0,(($D25+$D26)-400)*18,0)+IF((($D25+$D26)-1000)&gt;0,(($D25+$D26)-1000)*12,0))*1.05</f>
        <v>1470</v>
      </c>
      <c r="H25" s="8" t="s">
        <v>3</v>
      </c>
      <c r="I25" s="24" t="s">
        <v>9</v>
      </c>
      <c r="J25" s="6" t="s">
        <v>8</v>
      </c>
      <c r="K25" s="7">
        <f>(1300+IF((($D25+$D26)-10)&gt;0,(($D25+$D26)-10)*10,0)+IF((($D25+$D26)-20)&gt;0,(($D25+$D26)-20)*103,0)+IF((($D25+$D26)-40)&gt;0,(($D25+$D26)-40)*3,0)+IF((($D25+$D26)-60)&gt;0,(($D25+$D26)-60)*46,0)+IF((($D25+$D26)-200)&gt;0,(($D25+$D26)-200)*21,0)+IF((($D25+$D26)-400)&gt;0,(($D25+$D26)-400)*18,0)+IF((($D25+$D26)-1000)&gt;0,(($D25+$D26)-1000)*12,0)+IF((($D25+$D26)-10000)&gt;0,(($D25+$D26)-10000)*5,0))*1.05</f>
        <v>1365</v>
      </c>
      <c r="L25" s="8" t="s">
        <v>3</v>
      </c>
      <c r="M25" s="9" t="s">
        <v>10</v>
      </c>
      <c r="N25" s="3">
        <f>N24*6</f>
        <v>256914</v>
      </c>
      <c r="O25" s="1" t="s">
        <v>11</v>
      </c>
      <c r="P25" s="23"/>
    </row>
    <row r="26" spans="2:16" ht="13.5">
      <c r="B26" s="21"/>
      <c r="C26" s="25" t="s">
        <v>23</v>
      </c>
      <c r="D26" s="4">
        <v>0</v>
      </c>
      <c r="E26" s="24"/>
      <c r="F26" s="1" t="s">
        <v>12</v>
      </c>
      <c r="G26" s="10">
        <f>ROUNDDOWN(G24+G25,0)</f>
        <v>33957</v>
      </c>
      <c r="H26" s="11" t="s">
        <v>3</v>
      </c>
      <c r="I26" s="24"/>
      <c r="J26" s="1" t="s">
        <v>12</v>
      </c>
      <c r="K26" s="10">
        <f>ROUNDDOWN(K24+K25,0)</f>
        <v>76776</v>
      </c>
      <c r="L26" s="11" t="s">
        <v>3</v>
      </c>
      <c r="M26" s="9" t="s">
        <v>13</v>
      </c>
      <c r="N26" s="26">
        <f>N24/G26</f>
        <v>1.2609771181199754</v>
      </c>
      <c r="O26" s="1"/>
      <c r="P26" s="23"/>
    </row>
    <row r="27" spans="2:16" ht="13.5">
      <c r="B27" s="21"/>
      <c r="C27" s="1"/>
      <c r="D27" s="1"/>
      <c r="E27" s="24"/>
      <c r="F27" s="1"/>
      <c r="G27" s="10"/>
      <c r="H27" s="11"/>
      <c r="I27" s="24"/>
      <c r="J27" s="1"/>
      <c r="K27" s="10"/>
      <c r="L27" s="11"/>
      <c r="M27" s="9"/>
      <c r="N27" s="26"/>
      <c r="O27" s="1"/>
      <c r="P27" s="23"/>
    </row>
    <row r="28" spans="2:16" ht="13.5">
      <c r="B28" s="21"/>
      <c r="C28" s="1"/>
      <c r="D28" s="1"/>
      <c r="E28" s="1"/>
      <c r="F28" s="1" t="s">
        <v>2</v>
      </c>
      <c r="G28" s="2">
        <f>(15470*2+IF(($D29-20)&gt;0,($D29-20)*162,0)+IF(($D29-60)&gt;0,($D29-60)*27,0)+IF(($D29-200)&gt;0,($D29-200)*17,0)+IF(($D29-400)&gt;0,($D29-400)*17,0)+IF(($D29-1000)&gt;0,($D29-1000)*39,0)+IF(($D29-10000)&gt;0,($D29-10000)*39,0)+IF(($D29-20000)&gt;0,($D29-20000)*38,0))*1.05</f>
        <v>32487</v>
      </c>
      <c r="H28" s="1" t="s">
        <v>3</v>
      </c>
      <c r="I28" s="1"/>
      <c r="J28" s="1" t="s">
        <v>2</v>
      </c>
      <c r="K28" s="2">
        <f>(71600*2+IF(($D29-500)&gt;0,($D29-500)*10,0)+IF(($D29-500)&gt;0,($D29-500)*167,0)+IF(($D29-500)&gt;0,($D29-500)*3,0)+IF(($D29-500)&gt;0,($D29-500)*28,0)+IF(($D29-500)&gt;0,($D29-500)*18,0)+IF(($D29-500)&gt;0,($D29-500)*17,0)+IF(($D29-1000)&gt;0,($D29-1000)*41,0)+IF(($D29-10000)&gt;0,($D29-10000)*42,0))*1.05</f>
        <v>150360</v>
      </c>
      <c r="L28" s="1" t="s">
        <v>3</v>
      </c>
      <c r="M28" s="22" t="s">
        <v>4</v>
      </c>
      <c r="N28" s="3">
        <f>ROUNDDOWN(K30-G30,0)</f>
        <v>117768</v>
      </c>
      <c r="O28" s="1" t="s">
        <v>5</v>
      </c>
      <c r="P28" s="23"/>
    </row>
    <row r="29" spans="2:16" ht="13.5">
      <c r="B29" s="21"/>
      <c r="C29" s="1" t="s">
        <v>20</v>
      </c>
      <c r="D29" s="4">
        <v>0</v>
      </c>
      <c r="E29" s="24" t="s">
        <v>9</v>
      </c>
      <c r="F29" s="6" t="s">
        <v>8</v>
      </c>
      <c r="G29" s="7">
        <f>(1400+IF((($D29+$D30)-20)&gt;0,(($D29+$D30)-20)*119,0)+IF((($D29+$D30)-60)&gt;0,(($D29+$D30)-60)*48,0)+IF((($D29+$D30)-200)&gt;0,(($D29+$D30)-200)*21,0)+IF((($D29+$D30)-400)&gt;0,(($D29+$D30)-400)*18,0)+IF((($D29+$D30)-1000)&gt;0,(($D29+$D30)-1000)*12,0))*1.05</f>
        <v>1470</v>
      </c>
      <c r="H29" s="8" t="s">
        <v>3</v>
      </c>
      <c r="I29" s="24" t="s">
        <v>9</v>
      </c>
      <c r="J29" s="6" t="s">
        <v>8</v>
      </c>
      <c r="K29" s="7">
        <f>(1300+IF((($D29+$D30)-10)&gt;0,(($D29+$D30)-10)*10,0)+IF((($D29+$D30)-20)&gt;0,(($D29+$D30)-20)*103,0)+IF((($D29+$D30)-40)&gt;0,(($D29+$D30)-40)*3,0)+IF((($D29+$D30)-60)&gt;0,(($D29+$D30)-60)*46,0)+IF((($D29+$D30)-200)&gt;0,(($D29+$D30)-200)*21,0)+IF((($D29+$D30)-400)&gt;0,(($D29+$D30)-400)*18,0)+IF((($D29+$D30)-1000)&gt;0,(($D29+$D30)-1000)*12,0)+IF((($D29+$D30)-10000)&gt;0,(($D29+$D30)-10000)*5,0))*1.05</f>
        <v>1365</v>
      </c>
      <c r="L29" s="8" t="s">
        <v>3</v>
      </c>
      <c r="M29" s="9" t="s">
        <v>10</v>
      </c>
      <c r="N29" s="3">
        <f>N28*6</f>
        <v>706608</v>
      </c>
      <c r="O29" s="1" t="s">
        <v>11</v>
      </c>
      <c r="P29" s="23"/>
    </row>
    <row r="30" spans="2:16" ht="13.5">
      <c r="B30" s="21"/>
      <c r="C30" s="25" t="s">
        <v>23</v>
      </c>
      <c r="D30" s="4">
        <v>0</v>
      </c>
      <c r="E30" s="24"/>
      <c r="F30" s="1" t="s">
        <v>12</v>
      </c>
      <c r="G30" s="10">
        <f>ROUNDDOWN(G28+G29,0)</f>
        <v>33957</v>
      </c>
      <c r="H30" s="11" t="s">
        <v>3</v>
      </c>
      <c r="I30" s="24"/>
      <c r="J30" s="1" t="s">
        <v>12</v>
      </c>
      <c r="K30" s="10">
        <f>ROUNDDOWN(K28+K29,0)</f>
        <v>151725</v>
      </c>
      <c r="L30" s="11" t="s">
        <v>3</v>
      </c>
      <c r="M30" s="9" t="s">
        <v>13</v>
      </c>
      <c r="N30" s="26">
        <f>N28/G30</f>
        <v>3.4681508967223253</v>
      </c>
      <c r="O30" s="1"/>
      <c r="P30" s="23"/>
    </row>
    <row r="31" spans="2:16" ht="13.5">
      <c r="B31" s="21"/>
      <c r="C31" s="1"/>
      <c r="D31" s="1"/>
      <c r="E31" s="24"/>
      <c r="F31" s="1"/>
      <c r="G31" s="10"/>
      <c r="H31" s="11"/>
      <c r="I31" s="24"/>
      <c r="J31" s="1"/>
      <c r="K31" s="10"/>
      <c r="L31" s="11"/>
      <c r="M31" s="9"/>
      <c r="N31" s="26"/>
      <c r="O31" s="1"/>
      <c r="P31" s="23"/>
    </row>
    <row r="32" spans="2:16" ht="13.5">
      <c r="B32" s="21"/>
      <c r="C32" s="1"/>
      <c r="D32" s="1"/>
      <c r="E32" s="1"/>
      <c r="F32" s="1" t="s">
        <v>2</v>
      </c>
      <c r="G32" s="2">
        <f>(15470*2+IF(($D33-20)&gt;0,($D33-20)*162,0)+IF(($D33-60)&gt;0,($D33-60)*27,0)+IF(($D33-200)&gt;0,($D33-200)*17,0)+IF(($D33-400)&gt;0,($D33-400)*17,0)+IF(($D33-1000)&gt;0,($D33-1000)*39,0)+IF(($D33-10000)&gt;0,($D33-10000)*39,0)+IF(($D33-20000)&gt;0,($D33-20000)*38,0))*1.05</f>
        <v>32487</v>
      </c>
      <c r="H32" s="1" t="s">
        <v>3</v>
      </c>
      <c r="I32" s="1"/>
      <c r="J32" s="1" t="s">
        <v>2</v>
      </c>
      <c r="K32" s="2">
        <f>(134260*2+IF(($D33-1000)&gt;0,($D33-1000)*10,0)+IF(($D33-1000)&gt;0,($D33-1000)*167,0)+IF(($D33-1000)&gt;0,($D33-1000)*3,0)+IF(($D33-1000)&gt;0,($D33-1000)*28,0)+IF(($D33-1000)&gt;0,($D33-1000)*18,0)+IF(($D33-1000)&gt;0,($D33-1000)*17,0)+IF(($D33-1000)&gt;0,($D33-1000)*41,0)+IF(($D33-10000)&gt;0,($D33-10000)*42,0))*1.05</f>
        <v>281946</v>
      </c>
      <c r="L32" s="1" t="s">
        <v>3</v>
      </c>
      <c r="M32" s="22" t="s">
        <v>4</v>
      </c>
      <c r="N32" s="3">
        <f>ROUNDDOWN(K34-G34,0)</f>
        <v>249354</v>
      </c>
      <c r="O32" s="1" t="s">
        <v>5</v>
      </c>
      <c r="P32" s="23"/>
    </row>
    <row r="33" spans="2:16" ht="13.5">
      <c r="B33" s="21"/>
      <c r="C33" s="1" t="s">
        <v>21</v>
      </c>
      <c r="D33" s="4">
        <v>0</v>
      </c>
      <c r="E33" s="24" t="s">
        <v>9</v>
      </c>
      <c r="F33" s="6" t="s">
        <v>8</v>
      </c>
      <c r="G33" s="7">
        <f>(1400+IF((($D33+$D34)-20)&gt;0,(($D33+$D34)-20)*119,0)+IF((($D33+$D34)-60)&gt;0,(($D33+$D34)-60)*48,0)+IF((($D33+$D34)-200)&gt;0,(($D33+$D34)-200)*21,0)+IF((($D33+$D34)-400)&gt;0,(($D33+$D34)-400)*18,0)+IF((($D33+$D34)-1000)&gt;0,(($D33+$D34)-1000)*12,0))*1.05</f>
        <v>1470</v>
      </c>
      <c r="H33" s="8" t="s">
        <v>3</v>
      </c>
      <c r="I33" s="24" t="s">
        <v>9</v>
      </c>
      <c r="J33" s="6" t="s">
        <v>8</v>
      </c>
      <c r="K33" s="7">
        <f>(1300+IF((($D33+$D34)-10)&gt;0,(($D33+$D34)-10)*10,0)+IF((($D33+$D34)-20)&gt;0,(($D33+$D34)-20)*103,0)+IF((($D33+$D34)-40)&gt;0,(($D33+$D34)-40)*3,0)+IF((($D33+$D34)-60)&gt;0,(($D33+$D34)-60)*46,0)+IF((($D33+$D34)-200)&gt;0,(($D33+$D34)-200)*21,0)+IF((($D33+$D34)-400)&gt;0,(($D33+$D34)-400)*18,0)+IF((($D33+$D34)-1000)&gt;0,(($D33+$D34)-1000)*12,0)+IF((($D33+$D34)-10000)&gt;0,(($D33+$D34)-10000)*5,0))*1.05</f>
        <v>1365</v>
      </c>
      <c r="L33" s="8" t="s">
        <v>3</v>
      </c>
      <c r="M33" s="9" t="s">
        <v>10</v>
      </c>
      <c r="N33" s="3">
        <f>N32*6</f>
        <v>1496124</v>
      </c>
      <c r="O33" s="1" t="s">
        <v>11</v>
      </c>
      <c r="P33" s="23"/>
    </row>
    <row r="34" spans="2:16" ht="13.5">
      <c r="B34" s="21"/>
      <c r="C34" s="25" t="s">
        <v>23</v>
      </c>
      <c r="D34" s="4">
        <v>0</v>
      </c>
      <c r="E34" s="24"/>
      <c r="F34" s="1" t="s">
        <v>12</v>
      </c>
      <c r="G34" s="10">
        <f>ROUNDDOWN(G32+G33,0)</f>
        <v>33957</v>
      </c>
      <c r="H34" s="11" t="s">
        <v>3</v>
      </c>
      <c r="I34" s="24"/>
      <c r="J34" s="1" t="s">
        <v>12</v>
      </c>
      <c r="K34" s="10">
        <f>ROUNDDOWN(K32+K33,0)</f>
        <v>283311</v>
      </c>
      <c r="L34" s="11" t="s">
        <v>3</v>
      </c>
      <c r="M34" s="9" t="s">
        <v>13</v>
      </c>
      <c r="N34" s="26">
        <f>N32/G34</f>
        <v>7.343228200371057</v>
      </c>
      <c r="O34" s="1"/>
      <c r="P34" s="23"/>
    </row>
    <row r="35" spans="2:16" ht="13.5">
      <c r="B35" s="21"/>
      <c r="C35" s="1"/>
      <c r="D35" s="1"/>
      <c r="E35" s="24"/>
      <c r="F35" s="1"/>
      <c r="G35" s="10"/>
      <c r="H35" s="11"/>
      <c r="I35" s="24"/>
      <c r="J35" s="1"/>
      <c r="K35" s="10"/>
      <c r="L35" s="11"/>
      <c r="M35" s="9"/>
      <c r="N35" s="26"/>
      <c r="O35" s="1"/>
      <c r="P35" s="23"/>
    </row>
    <row r="36" spans="2:16" ht="13.5">
      <c r="B36" s="21"/>
      <c r="C36" s="1"/>
      <c r="D36" s="1"/>
      <c r="E36" s="1"/>
      <c r="F36" s="1" t="s">
        <v>2</v>
      </c>
      <c r="G36" s="2">
        <f>(15470*2+IF(($D37-20)&gt;0,($D37-20)*162,0)+IF(($D37-60)&gt;0,($D37-60)*27,0)+IF(($D37-200)&gt;0,($D37-200)*17,0)+IF(($D37-400)&gt;0,($D37-400)*17,0)+IF(($D37-1000)&gt;0,($D37-1000)*39,0)+IF(($D37-10000)&gt;0,($D37-10000)*39,0)+IF(($D37-20000)&gt;0,($D37-20000)*38,0))*1.05</f>
        <v>32487</v>
      </c>
      <c r="H36" s="1" t="s">
        <v>3</v>
      </c>
      <c r="I36" s="1"/>
      <c r="J36" s="1" t="s">
        <v>2</v>
      </c>
      <c r="K36" s="2">
        <f>(281520*2+IF(($D37-2000)&gt;0,($D37-2000)*10,0)+IF(($D37-2000)&gt;0,($D37-2000)*167,0)+IF(($D37-2000)&gt;0,($D37-2000)*3,0)+IF(($D37-2000)&gt;0,($D37-2000)*28,0)+IF(($D37-2000)&gt;0,($D37-2000)*18,0)+IF(($D37-2000)&gt;0,($D37-2000)*17,0)+IF(($D37-2000)&gt;0,($D37-2000)*41,0)+IF(($D37-10000)&gt;0,($D37-10000)*42,0))*1.05</f>
        <v>591192</v>
      </c>
      <c r="L36" s="1" t="s">
        <v>3</v>
      </c>
      <c r="M36" s="22" t="s">
        <v>4</v>
      </c>
      <c r="N36" s="3">
        <f>ROUNDDOWN(K38-G38,0)</f>
        <v>558600</v>
      </c>
      <c r="O36" s="1" t="s">
        <v>5</v>
      </c>
      <c r="P36" s="23"/>
    </row>
    <row r="37" spans="2:16" ht="13.5">
      <c r="B37" s="21"/>
      <c r="C37" s="1" t="s">
        <v>22</v>
      </c>
      <c r="D37" s="4">
        <v>0</v>
      </c>
      <c r="E37" s="24" t="s">
        <v>9</v>
      </c>
      <c r="F37" s="6" t="s">
        <v>8</v>
      </c>
      <c r="G37" s="7">
        <f>(1400+IF((($D37+$D38)-20)&gt;0,(($D37+$D38)-20)*119,0)+IF((($D37+$D38)-60)&gt;0,(($D37+$D38)-60)*48,0)+IF((($D37+$D38)-200)&gt;0,(($D37+$D38)-200)*21,0)+IF((($D37+$D38)-400)&gt;0,(($D37+$D38)-400)*18,0)+IF((($D37+$D38)-1000)&gt;0,(($D37+$D38)-1000)*12,0))*1.05</f>
        <v>1470</v>
      </c>
      <c r="H37" s="8" t="s">
        <v>3</v>
      </c>
      <c r="I37" s="24" t="s">
        <v>9</v>
      </c>
      <c r="J37" s="6" t="s">
        <v>8</v>
      </c>
      <c r="K37" s="7">
        <f>(1300+IF((($D37+$D38)-10)&gt;0,(($D37+$D38)-10)*10,0)+IF((($D37+$D38)-20)&gt;0,(($D37+$D38)-20)*103,0)+IF((($D37+$D38)-40)&gt;0,(($D37+$D38)-40)*3,0)+IF((($D37+$D38)-60)&gt;0,(($D37+$D38)-60)*46,0)+IF((($D37+$D38)-200)&gt;0,(($D37+$D38)-200)*21,0)+IF((($D37+$D38)-400)&gt;0,(($D37+$D38)-400)*18,0)+IF((($D37+$D38)-1000)&gt;0,(($D37+$D38)-1000)*12,0)+IF((($D37+$D38)-10000)&gt;0,(($D37+$D38)-10000)*5,0))*1.05</f>
        <v>1365</v>
      </c>
      <c r="L37" s="8" t="s">
        <v>3</v>
      </c>
      <c r="M37" s="9" t="s">
        <v>10</v>
      </c>
      <c r="N37" s="3">
        <f>N36*6</f>
        <v>3351600</v>
      </c>
      <c r="O37" s="1" t="s">
        <v>11</v>
      </c>
      <c r="P37" s="23"/>
    </row>
    <row r="38" spans="2:16" ht="13.5">
      <c r="B38" s="21"/>
      <c r="C38" s="25" t="s">
        <v>23</v>
      </c>
      <c r="D38" s="4">
        <v>0</v>
      </c>
      <c r="E38" s="24"/>
      <c r="F38" s="1" t="s">
        <v>12</v>
      </c>
      <c r="G38" s="10">
        <f>ROUNDDOWN(G36+G37,0)</f>
        <v>33957</v>
      </c>
      <c r="H38" s="11" t="s">
        <v>3</v>
      </c>
      <c r="I38" s="24"/>
      <c r="J38" s="1" t="s">
        <v>12</v>
      </c>
      <c r="K38" s="10">
        <f>ROUNDDOWN(K36+K37,0)</f>
        <v>592557</v>
      </c>
      <c r="L38" s="11" t="s">
        <v>3</v>
      </c>
      <c r="M38" s="9" t="s">
        <v>13</v>
      </c>
      <c r="N38" s="26">
        <f>N36/G38</f>
        <v>16.450216450216452</v>
      </c>
      <c r="O38" s="1"/>
      <c r="P38" s="23"/>
    </row>
    <row r="39" spans="2:16" ht="14.25" thickBot="1">
      <c r="B39" s="27"/>
      <c r="C39" s="28"/>
      <c r="D39" s="28"/>
      <c r="E39" s="30"/>
      <c r="F39" s="28"/>
      <c r="G39" s="31"/>
      <c r="H39" s="32"/>
      <c r="I39" s="30"/>
      <c r="J39" s="28"/>
      <c r="K39" s="31"/>
      <c r="L39" s="32"/>
      <c r="M39" s="33"/>
      <c r="N39" s="34"/>
      <c r="O39" s="28"/>
      <c r="P39" s="29"/>
    </row>
    <row r="40" spans="4:14" ht="14.25" thickBot="1">
      <c r="D40" s="1"/>
      <c r="E40" s="5"/>
      <c r="F40" s="1"/>
      <c r="G40" s="10"/>
      <c r="H40" s="11"/>
      <c r="I40" s="5"/>
      <c r="J40" s="1"/>
      <c r="K40" s="10"/>
      <c r="L40" s="11"/>
      <c r="M40" s="9"/>
      <c r="N40" s="12"/>
    </row>
    <row r="41" spans="2:16" ht="13.5">
      <c r="B41" s="13" t="s">
        <v>24</v>
      </c>
      <c r="C41" s="14"/>
      <c r="D41" s="14"/>
      <c r="E41" s="15"/>
      <c r="F41" s="14"/>
      <c r="G41" s="16"/>
      <c r="H41" s="17"/>
      <c r="I41" s="15"/>
      <c r="J41" s="14"/>
      <c r="K41" s="16"/>
      <c r="L41" s="17"/>
      <c r="M41" s="18"/>
      <c r="N41" s="19"/>
      <c r="O41" s="14"/>
      <c r="P41" s="20"/>
    </row>
    <row r="42" spans="2:16" ht="13.5">
      <c r="B42" s="21"/>
      <c r="C42" s="1"/>
      <c r="D42" s="1"/>
      <c r="E42" s="1"/>
      <c r="F42" s="1" t="s">
        <v>2</v>
      </c>
      <c r="G42" s="2">
        <f>(2470*2+IF(($D43-20)&gt;0,($D43-20)*162,0)+IF(($D43-60)&gt;0,($D43-60)*27,0)+IF(($D43-200)&gt;0,($D43-200)*(-151),0))*1.05</f>
        <v>5187</v>
      </c>
      <c r="H42" s="1" t="s">
        <v>3</v>
      </c>
      <c r="I42" s="1"/>
      <c r="J42" s="1" t="s">
        <v>2</v>
      </c>
      <c r="K42" s="2">
        <f>(2780*2+IF(($D43-20)&gt;0,($D43-20)*10,0)+IF(($D43-20)&gt;0,($D43-20)*167,0)+IF(($D43-40)&gt;0,($D43-40)*3,0)+IF(($D43-60)&gt;0,($D43-60)*28,0)+IF(($D43-200)&gt;0,($D43-200)*(-169),0))*1.05</f>
        <v>5838</v>
      </c>
      <c r="L42" s="1" t="s">
        <v>3</v>
      </c>
      <c r="M42" s="22" t="s">
        <v>4</v>
      </c>
      <c r="N42" s="3">
        <f>ROUNDDOWN(K44-G44,0)</f>
        <v>546</v>
      </c>
      <c r="O42" s="1" t="s">
        <v>5</v>
      </c>
      <c r="P42" s="23"/>
    </row>
    <row r="43" spans="2:16" ht="13.5">
      <c r="B43" s="21"/>
      <c r="C43" s="1" t="s">
        <v>17</v>
      </c>
      <c r="D43" s="4">
        <v>0</v>
      </c>
      <c r="E43" s="24" t="s">
        <v>9</v>
      </c>
      <c r="F43" s="6" t="s">
        <v>8</v>
      </c>
      <c r="G43" s="7">
        <f>(1400+IF((($D43+$D44)-20)&gt;0,(($D43+$D44)-20)*119,0)+IF((($D43+$D44)-60)&gt;0,(($D43+$D44)-60)*(-103),0))*1.05</f>
        <v>1470</v>
      </c>
      <c r="H43" s="8" t="s">
        <v>3</v>
      </c>
      <c r="I43" s="24" t="s">
        <v>9</v>
      </c>
      <c r="J43" s="6" t="s">
        <v>8</v>
      </c>
      <c r="K43" s="7">
        <f>(1300+IF((($D43+$D44)-10)&gt;0,(($D43+$D44)-10)*10,0)+IF((($D43+$D44)-20)&gt;0,(($D43+$D44)-20)*103,0)+IF((($D43+$D44)-40)&gt;0,(($D43+$D44)-40)*3,0)+IF((($D43+$D44)-60)&gt;0,(($D43+$D44)-60)*(-101),0))*1.05</f>
        <v>1365</v>
      </c>
      <c r="L43" s="8" t="s">
        <v>3</v>
      </c>
      <c r="M43" s="9" t="s">
        <v>10</v>
      </c>
      <c r="N43" s="3">
        <f>N42*6</f>
        <v>3276</v>
      </c>
      <c r="O43" s="1" t="s">
        <v>11</v>
      </c>
      <c r="P43" s="23"/>
    </row>
    <row r="44" spans="2:16" ht="13.5">
      <c r="B44" s="21"/>
      <c r="C44" s="25" t="s">
        <v>23</v>
      </c>
      <c r="D44" s="4">
        <v>0</v>
      </c>
      <c r="E44" s="24"/>
      <c r="F44" s="1" t="s">
        <v>12</v>
      </c>
      <c r="G44" s="10">
        <f>ROUNDDOWN(G42+G43,0)</f>
        <v>6657</v>
      </c>
      <c r="H44" s="11" t="s">
        <v>3</v>
      </c>
      <c r="I44" s="24"/>
      <c r="J44" s="1" t="s">
        <v>12</v>
      </c>
      <c r="K44" s="10">
        <f>ROUNDDOWN(K42+K43,0)</f>
        <v>7203</v>
      </c>
      <c r="L44" s="11" t="s">
        <v>3</v>
      </c>
      <c r="M44" s="9" t="s">
        <v>13</v>
      </c>
      <c r="N44" s="26">
        <f>N42/G44</f>
        <v>0.08201892744479496</v>
      </c>
      <c r="O44" s="1"/>
      <c r="P44" s="23"/>
    </row>
    <row r="45" spans="2:16" ht="13.5">
      <c r="B45" s="21"/>
      <c r="C45" s="1"/>
      <c r="D45" s="1"/>
      <c r="E45" s="24"/>
      <c r="F45" s="1"/>
      <c r="G45" s="10"/>
      <c r="H45" s="11"/>
      <c r="I45" s="24"/>
      <c r="J45" s="1"/>
      <c r="K45" s="10"/>
      <c r="L45" s="11"/>
      <c r="M45" s="9"/>
      <c r="N45" s="26"/>
      <c r="O45" s="1"/>
      <c r="P45" s="23"/>
    </row>
    <row r="46" spans="2:16" ht="13.5">
      <c r="B46" s="21"/>
      <c r="C46" s="1"/>
      <c r="D46" s="1"/>
      <c r="E46" s="1"/>
      <c r="F46" s="1" t="s">
        <v>2</v>
      </c>
      <c r="G46" s="2">
        <f>(9250*2+IF(($D47-20)&gt;0,($D47-20)*162,0)+IF(($D47-60)&gt;0,($D47-60)*27,0)+IF(($D47-200)&gt;0,($D47-200)*(-151),0))*1.05</f>
        <v>19425</v>
      </c>
      <c r="H46" s="1" t="s">
        <v>3</v>
      </c>
      <c r="I46" s="1"/>
      <c r="J46" s="1" t="s">
        <v>2</v>
      </c>
      <c r="K46" s="2">
        <f>(18300*2+IF(($D47-100)&gt;0,($D47-100)*10,0)+IF(($D47-100)&gt;0,($D47-100)*167,0)+IF(($D47-100)&gt;0,($D47-100)*3,0)+IF(($D47-100)&gt;0,($D47-100)*28,0)+IF(($D47-200)&gt;0,($D47-200)*18,0)+IF(($D47-400)&gt;0,($D47-400)*17,0)+IF(($D47-1000)&gt;0,($D47-1000)*41,0)+IF(($D47-10000)&gt;0,($D47-10000)*42,0))*1.05</f>
        <v>38430</v>
      </c>
      <c r="L46" s="1" t="s">
        <v>3</v>
      </c>
      <c r="M46" s="22" t="s">
        <v>4</v>
      </c>
      <c r="N46" s="3">
        <f>ROUNDDOWN(K48-G48,0)</f>
        <v>18900</v>
      </c>
      <c r="O46" s="1" t="s">
        <v>5</v>
      </c>
      <c r="P46" s="23"/>
    </row>
    <row r="47" spans="2:16" ht="13.5">
      <c r="B47" s="21"/>
      <c r="C47" s="1" t="s">
        <v>18</v>
      </c>
      <c r="D47" s="4">
        <v>0</v>
      </c>
      <c r="E47" s="24" t="s">
        <v>9</v>
      </c>
      <c r="F47" s="6" t="s">
        <v>8</v>
      </c>
      <c r="G47" s="7">
        <f>(1400+IF((($D47+$D48)-20)&gt;0,(($D47+$D48)-20)*119,0)+IF((($D47+$D48)-60)&gt;0,(($D47+$D48)-60)*(-103),0))*1.05</f>
        <v>1470</v>
      </c>
      <c r="H47" s="8" t="s">
        <v>3</v>
      </c>
      <c r="I47" s="24" t="s">
        <v>9</v>
      </c>
      <c r="J47" s="6" t="s">
        <v>8</v>
      </c>
      <c r="K47" s="7">
        <f>(1300+IF((($D47+$D48)-10)&gt;0,(($D47+$D48)-10)*10,0)+IF((($D47+$D48)-20)&gt;0,(($D47+$D48)-20)*103,0)+IF((($D47+$D48)-40)&gt;0,(($D47+$D48)-40)*3,0)+IF((($D47+$D48)-60)&gt;0,(($D47+$D48)-60)*(-101),0))*1.05</f>
        <v>1365</v>
      </c>
      <c r="L47" s="8" t="s">
        <v>3</v>
      </c>
      <c r="M47" s="9" t="s">
        <v>10</v>
      </c>
      <c r="N47" s="3">
        <f>N46*6</f>
        <v>113400</v>
      </c>
      <c r="O47" s="1" t="s">
        <v>11</v>
      </c>
      <c r="P47" s="23"/>
    </row>
    <row r="48" spans="2:16" ht="13.5">
      <c r="B48" s="21"/>
      <c r="C48" s="25" t="s">
        <v>23</v>
      </c>
      <c r="D48" s="4">
        <v>0</v>
      </c>
      <c r="E48" s="24"/>
      <c r="F48" s="1" t="s">
        <v>12</v>
      </c>
      <c r="G48" s="10">
        <f>ROUNDDOWN(G46+G47,0)</f>
        <v>20895</v>
      </c>
      <c r="H48" s="11" t="s">
        <v>3</v>
      </c>
      <c r="I48" s="24"/>
      <c r="J48" s="1" t="s">
        <v>12</v>
      </c>
      <c r="K48" s="10">
        <f>ROUNDDOWN(K46+K47,0)</f>
        <v>39795</v>
      </c>
      <c r="L48" s="11" t="s">
        <v>3</v>
      </c>
      <c r="M48" s="9" t="s">
        <v>13</v>
      </c>
      <c r="N48" s="26">
        <f>N46/G48</f>
        <v>0.9045226130653267</v>
      </c>
      <c r="O48" s="1"/>
      <c r="P48" s="23"/>
    </row>
    <row r="49" spans="2:16" ht="13.5">
      <c r="B49" s="21"/>
      <c r="C49" s="1"/>
      <c r="D49" s="1"/>
      <c r="E49" s="24"/>
      <c r="F49" s="1"/>
      <c r="G49" s="10"/>
      <c r="H49" s="11"/>
      <c r="I49" s="24"/>
      <c r="J49" s="1"/>
      <c r="K49" s="10"/>
      <c r="L49" s="11"/>
      <c r="M49" s="9"/>
      <c r="N49" s="26"/>
      <c r="O49" s="1"/>
      <c r="P49" s="23"/>
    </row>
    <row r="50" spans="2:16" ht="14.25" thickBot="1"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</row>
    <row r="52" ht="13.5">
      <c r="B52" t="s">
        <v>26</v>
      </c>
    </row>
  </sheetData>
  <sheetProtection/>
  <mergeCells count="2">
    <mergeCell ref="F5:H5"/>
    <mergeCell ref="B2:P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comcd</cp:lastModifiedBy>
  <cp:lastPrinted>2013-02-22T08:57:34Z</cp:lastPrinted>
  <dcterms:created xsi:type="dcterms:W3CDTF">2013-02-22T08:12:01Z</dcterms:created>
  <dcterms:modified xsi:type="dcterms:W3CDTF">2013-03-07T07:05:50Z</dcterms:modified>
  <cp:category/>
  <cp:version/>
  <cp:contentType/>
  <cp:contentStatus/>
</cp:coreProperties>
</file>